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<sst xmlns="http://schemas.openxmlformats.org/spreadsheetml/2006/main" count="1110" uniqueCount="282">
  <si>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</si>
  <si>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</si>
  <si>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</si>
  <si>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</si>
  <si>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</si>
  <si>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</si>
  <si>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</si>
  <si>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</si>
  <si>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</si>
  <si>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</si>
  <si>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</si>
  <si>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</si>
  <si>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</si>
  <si>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</si>
  <si>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</si>
  <si>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</si>
  <si>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</si>
  <si>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</si>
  <si>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</si>
  <si>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</si>
  <si>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</si>
  <si>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</si>
  <si>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</si>
  <si>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</si>
  <si>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</si>
  <si>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</si>
  <si>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</si>
  <si>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</si>
  <si>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</si>
  <si>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</si>
  <si>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</si>
  <si>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</si>
  <si>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</si>
  <si>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</si>
  <si>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</si>
  <si>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</si>
  <si>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</si>
  <si>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</si>
  <si>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</si>
  <si>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</si>
  <si>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</si>
  <si>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</si>
  <si>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</si>
  <si>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</si>
  <si>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</si>
  <si>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</si>
  <si>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</si>
  <si>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</si>
  <si>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</si>
  <si>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</si>
  <si>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</si>
  <si>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</si>
  <si>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</si>
  <si>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</si>
  <si>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</si>
  <si>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</si>
  <si>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</si>
  <si>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</si>
  <si>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</si>
  <si>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</si>
  <si>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</si>
  <si>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</si>
  <si>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</si>
  <si>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</si>
  <si>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</si>
  <si>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</si>
  <si>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</si>
  <si>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</si>
  <si>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</si>
  <si>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</si>
  <si>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</si>
  <si>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</si>
  <si>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</si>
  <si>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</si>
  <si>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</si>
  <si>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</si>
  <si>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</si>
  <si>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</si>
  <si>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</si>
  <si>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</si>
  <si>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</si>
  <si>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</si>
  <si>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</si>
  <si>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</si>
  <si>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</si>
  <si>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</si>
  <si>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</si>
  <si>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</si>
  <si>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</si>
  <si>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</si>
  <si>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</si>
  <si>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</si>
  <si>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</si>
  <si>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</si>
  <si>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</si>
  <si>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</si>
  <si>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</si>
  <si>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</si>
  <si>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</si>
  <si>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</si>
  <si>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</si>
  <si>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</si>
  <si>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</si>
  <si>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</si>
  <si>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</si>
  <si>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</si>
  <si>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</si>
  <si>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</si>
  <si>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</si>
  <si>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</si>
  <si>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</si>
  <si>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</si>
  <si>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</si>
  <si>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</si>
  <si>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</si>
  <si>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</si>
  <si>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</si>
  <si>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</si>
  <si>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</si>
  <si>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</si>
  <si>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</si>
  <si>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</si>
  <si>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</si>
  <si>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</si>
  <si>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</si>
  <si>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</si>
  <si>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</si>
  <si>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</si>
  <si>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</si>
  <si>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</si>
  <si>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</si>
  <si>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</si>
  <si>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</si>
  <si>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</si>
  <si>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</si>
  <si>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</si>
  <si>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</si>
  <si>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</si>
  <si>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</si>
  <si>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</si>
  <si>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</si>
  <si>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</si>
  <si>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</si>
  <si>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</si>
  <si>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</si>
  <si>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</si>
  <si>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</si>
  <si>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</si>
  <si>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</si>
  <si>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</si>
  <si>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</si>
  <si>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</si>
  <si>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</si>
  <si>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</si>
  <si>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</si>
  <si>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</si>
  <si>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</si>
  <si>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</si>
  <si>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</si>
  <si>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</si>
  <si>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</si>
  <si>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</si>
  <si>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</si>
  <si>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</si>
  <si>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</si>
  <si>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</si>
  <si>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</si>
  <si>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</si>
  <si>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</si>
  <si>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</si>
  <si>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</si>
  <si>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</si>
  <si>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</si>
  <si>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</si>
  <si>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</si>
  <si>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</si>
  <si>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</si>
  <si>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</si>
  <si>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</si>
  <si>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</si>
  <si>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</si>
  <si>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</si>
  <si>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</si>
  <si>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</si>
  <si>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</si>
  <si>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</si>
  <si>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</si>
  <si>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</si>
  <si>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</si>
  <si>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</si>
  <si>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</si>
  <si>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</si>
  <si>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</si>
  <si>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</si>
  <si>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</si>
  <si>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</si>
  <si>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</si>
  <si>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</si>
  <si>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</si>
  <si>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</si>
  <si>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</si>
  <si>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</si>
  <si>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</si>
  <si>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</si>
  <si>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</si>
  <si>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</si>
  <si>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</si>
  <si>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</si>
  <si>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</si>
  <si>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</si>
  <si>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</si>
  <si>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</si>
  <si>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</si>
  <si>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</si>
  <si>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</si>
  <si>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</si>
  <si>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</si>
  <si>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</si>
  <si>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</si>
  <si>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</si>
  <si>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</si>
  <si>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</si>
  <si>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</si>
  <si>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</si>
  <si>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</si>
  <si>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</si>
  <si>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</si>
  <si>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</si>
  <si>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</si>
  <si>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</si>
  <si>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</si>
  <si>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</si>
  <si>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</si>
  <si>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</si>
  <si>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</si>
  <si>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</si>
  <si>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</si>
  <si>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</si>
  <si>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</si>
  <si>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</si>
  <si>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</si>
  <si>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</si>
  <si>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</si>
  <si>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</si>
  <si>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</si>
  <si>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</si>
  <si>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</si>
  <si>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</si>
  <si>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</si>
  <si>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</si>
  <si>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</si>
  <si>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</si>
  <si>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</si>
  <si>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</si>
  <si>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</si>
  <si>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</si>
  <si>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</si>
  <si>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</si>
  <si>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</si>
  <si>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</si>
  <si>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</si>
  <si>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</si>
  <si>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</si>
  <si>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</si>
  <si>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</si>
  <si>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</si>
  <si>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</si>
  <si>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</si>
  <si>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</si>
  <si>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</si>
  <si>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</si>
  <si>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</si>
  <si>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</si>
  <si>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</si>
  <si>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</si>
  <si>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План  на січень-червень</t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</si>
  <si>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</si>
  <si>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</si>
  <si>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</si>
  <si>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</si>
  <si>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09.06.2015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</si>
  <si>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08.06.15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</si>
</sst>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96" sqref="H9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280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278</v>
      </c>
      <c r="N3" s="218" t="s">
        <v>279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275</v>
      </c>
      <c r="F4" s="223" t="s">
        <v>116</v>
      </c>
      <c r="G4" s="225" t="s">
        <v>276</v>
      </c>
      <c r="H4" s="227" t="s">
        <v>277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281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264509.89999999997</v>
      </c>
      <c r="F8" s="18">
        <f>F9+F15+F18+F19+F20+F32+F17</f>
        <v>264249.60000000003</v>
      </c>
      <c r="G8" s="18">
        <f aca="true" t="shared" si="0" ref="G8:G54">F8-E8</f>
        <v>-260.29999999993015</v>
      </c>
      <c r="H8" s="45">
        <f>F8/E8*100</f>
        <v>99.90159158504089</v>
      </c>
      <c r="I8" s="31">
        <f aca="true" t="shared" si="1" ref="I8:I54">F8-D8</f>
        <v>-253179.39999999997</v>
      </c>
      <c r="J8" s="31">
        <f aca="true" t="shared" si="2" ref="J8:J14">F8/D8*100</f>
        <v>51.0697313061309</v>
      </c>
      <c r="K8" s="18">
        <f>K9+K15+K18+K19+K20+K32</f>
        <v>68600.68000000001</v>
      </c>
      <c r="L8" s="18"/>
      <c r="M8" s="18">
        <f>M9+M15+M18+M19+M20+M32+M17</f>
        <v>40984.19999999999</v>
      </c>
      <c r="N8" s="18">
        <f>N9+N15+N18+N19+N20+N32+N17</f>
        <v>11517.500000000018</v>
      </c>
      <c r="O8" s="31">
        <f aca="true" t="shared" si="3" ref="O8:O54">N8-M8</f>
        <v>-29466.69999999997</v>
      </c>
      <c r="P8" s="31">
        <f>F8/M8*100</f>
        <v>644.7596878797198</v>
      </c>
      <c r="Q8" s="31">
        <f>N8-33748.16</f>
        <v>-22230.659999999985</v>
      </c>
      <c r="R8" s="125">
        <f>N8/33748.16</f>
        <v>0.3412778652228749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155358.65</v>
      </c>
      <c r="F9" s="143">
        <v>148353.29</v>
      </c>
      <c r="G9" s="43">
        <f t="shared" si="0"/>
        <v>-7005.359999999986</v>
      </c>
      <c r="H9" s="35">
        <f aca="true" t="shared" si="4" ref="H9:H32">F9/E9*100</f>
        <v>95.49084650259256</v>
      </c>
      <c r="I9" s="50">
        <f t="shared" si="1"/>
        <v>-164336.71</v>
      </c>
      <c r="J9" s="50">
        <f t="shared" si="2"/>
        <v>47.444206722312835</v>
      </c>
      <c r="K9" s="132">
        <f>F9-148760.15/75*60</f>
        <v>29345.170000000013</v>
      </c>
      <c r="L9" s="132">
        <f>F9/(148760.15/75*60)*100</f>
        <v>124.65812416833406</v>
      </c>
      <c r="M9" s="35">
        <f>E9-травень!E9</f>
        <v>27546</v>
      </c>
      <c r="N9" s="35">
        <f>F9-травень!F9</f>
        <v>10270.790000000008</v>
      </c>
      <c r="O9" s="47">
        <f t="shared" si="3"/>
        <v>-17275.209999999992</v>
      </c>
      <c r="P9" s="50">
        <f aca="true" t="shared" si="5" ref="P9:P32">N9/M9*100</f>
        <v>37.28595803383434</v>
      </c>
      <c r="Q9" s="132">
        <f>N9-26568.11</f>
        <v>-16297.319999999992</v>
      </c>
      <c r="R9" s="133">
        <f>N9/26568.11</f>
        <v>0.38658338888238597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136694.25</v>
      </c>
      <c r="F10" s="144">
        <v>131545.98</v>
      </c>
      <c r="G10" s="135">
        <f t="shared" si="0"/>
        <v>-5148.2699999999895</v>
      </c>
      <c r="H10" s="137">
        <f t="shared" si="4"/>
        <v>96.23373331358123</v>
      </c>
      <c r="I10" s="136">
        <f t="shared" si="1"/>
        <v>-108864.01999999999</v>
      </c>
      <c r="J10" s="136">
        <f t="shared" si="2"/>
        <v>54.71734952788986</v>
      </c>
      <c r="K10" s="138">
        <f>F10-134812.74/75*60</f>
        <v>23695.788000000015</v>
      </c>
      <c r="L10" s="138">
        <f>F10/(134812.74/75*60)*100</f>
        <v>121.97102069136791</v>
      </c>
      <c r="M10" s="137">
        <f>E10-травень!E10</f>
        <v>24072</v>
      </c>
      <c r="N10" s="137">
        <f>F10-травень!F10</f>
        <v>9352.240000000005</v>
      </c>
      <c r="O10" s="138">
        <f t="shared" si="3"/>
        <v>-14719.759999999995</v>
      </c>
      <c r="P10" s="136">
        <f t="shared" si="5"/>
        <v>38.85111332668663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144">
        <v>7773.34</v>
      </c>
      <c r="G11" s="135">
        <f t="shared" si="0"/>
        <v>-3014.66</v>
      </c>
      <c r="H11" s="137">
        <f t="shared" si="4"/>
        <v>72.05543196143863</v>
      </c>
      <c r="I11" s="136">
        <f t="shared" si="1"/>
        <v>-15926.66</v>
      </c>
      <c r="J11" s="136">
        <f t="shared" si="2"/>
        <v>32.7989029535865</v>
      </c>
      <c r="K11" s="138">
        <f>F11-9052.89/75*60</f>
        <v>531.0280000000002</v>
      </c>
      <c r="L11" s="138">
        <f>F11/(9052.89/75*60)*100</f>
        <v>107.33229940935989</v>
      </c>
      <c r="M11" s="137">
        <f>E11-травень!E11</f>
        <v>1830</v>
      </c>
      <c r="N11" s="137">
        <f>F11-травень!F11</f>
        <v>1.949999999999818</v>
      </c>
      <c r="O11" s="138">
        <f t="shared" si="3"/>
        <v>-1828.0500000000002</v>
      </c>
      <c r="P11" s="136">
        <f t="shared" si="5"/>
        <v>0.10655737704917038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144">
        <v>2334.93</v>
      </c>
      <c r="G12" s="135">
        <f t="shared" si="0"/>
        <v>-164.07000000000016</v>
      </c>
      <c r="H12" s="137">
        <f t="shared" si="4"/>
        <v>93.43457382953181</v>
      </c>
      <c r="I12" s="136">
        <f t="shared" si="1"/>
        <v>-3465.07</v>
      </c>
      <c r="J12" s="136">
        <f t="shared" si="2"/>
        <v>40.257413793103446</v>
      </c>
      <c r="K12" s="138">
        <f>F12-2098.76/75*60</f>
        <v>655.9219999999998</v>
      </c>
      <c r="L12" s="138">
        <f>F12/(2098.76/75*60)*100</f>
        <v>139.06604375917206</v>
      </c>
      <c r="M12" s="137">
        <f>E12-травень!E12</f>
        <v>330</v>
      </c>
      <c r="N12" s="137">
        <f>F12-травень!F12</f>
        <v>165.89999999999964</v>
      </c>
      <c r="O12" s="138">
        <f t="shared" si="3"/>
        <v>-164.10000000000036</v>
      </c>
      <c r="P12" s="136">
        <f t="shared" si="5"/>
        <v>50.27272727272716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144">
        <v>2414.06</v>
      </c>
      <c r="G13" s="135">
        <f t="shared" si="0"/>
        <v>-929.3400000000001</v>
      </c>
      <c r="H13" s="137">
        <f t="shared" si="4"/>
        <v>72.20374469103308</v>
      </c>
      <c r="I13" s="136">
        <f t="shared" si="1"/>
        <v>-5985.9400000000005</v>
      </c>
      <c r="J13" s="136">
        <f t="shared" si="2"/>
        <v>28.738809523809522</v>
      </c>
      <c r="K13" s="138">
        <f>F13-2795.76/75*60</f>
        <v>177.45199999999977</v>
      </c>
      <c r="L13" s="138">
        <f>F13/(2795.76/75*60)*100</f>
        <v>107.9339785961599</v>
      </c>
      <c r="M13" s="137">
        <f>E13-травень!E13</f>
        <v>924</v>
      </c>
      <c r="N13" s="137">
        <f>F13-травень!F13</f>
        <v>110.38999999999987</v>
      </c>
      <c r="O13" s="138">
        <f t="shared" si="3"/>
        <v>-813.6100000000001</v>
      </c>
      <c r="P13" s="136">
        <f t="shared" si="5"/>
        <v>11.946969696969683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144">
        <v>4284.99</v>
      </c>
      <c r="G14" s="135">
        <f t="shared" si="0"/>
        <v>2250.99</v>
      </c>
      <c r="H14" s="137">
        <f t="shared" si="4"/>
        <v>210.66814159292036</v>
      </c>
      <c r="I14" s="136">
        <f t="shared" si="1"/>
        <v>-95.01000000000022</v>
      </c>
      <c r="J14" s="136">
        <f t="shared" si="2"/>
        <v>97.83082191780822</v>
      </c>
      <c r="K14" s="138">
        <f>F14-0</f>
        <v>4284.99</v>
      </c>
      <c r="L14" s="138"/>
      <c r="M14" s="137">
        <f>E14-травень!E14</f>
        <v>390</v>
      </c>
      <c r="N14" s="137">
        <f>F14-травень!F14</f>
        <v>640.3299999999999</v>
      </c>
      <c r="O14" s="138">
        <f t="shared" si="3"/>
        <v>250.32999999999993</v>
      </c>
      <c r="P14" s="136">
        <f t="shared" si="5"/>
        <v>164.18717948717946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-880.74</v>
      </c>
      <c r="G15" s="43">
        <f t="shared" si="0"/>
        <v>-1052.04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E15-травень!E15</f>
        <v>0.10000000000002274</v>
      </c>
      <c r="N15" s="35">
        <f>F15-травень!F15</f>
        <v>0</v>
      </c>
      <c r="O15" s="47">
        <f t="shared" si="3"/>
        <v>-0.10000000000002274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137">
        <f>E16-травень!E16</f>
        <v>0</v>
      </c>
      <c r="N16" s="137">
        <f>F16-травень!F16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18502.75</v>
      </c>
      <c r="F19" s="168">
        <v>23198.14</v>
      </c>
      <c r="G19" s="43">
        <f t="shared" si="0"/>
        <v>4695.389999999999</v>
      </c>
      <c r="H19" s="35">
        <f t="shared" si="4"/>
        <v>125.37671427220278</v>
      </c>
      <c r="I19" s="50">
        <f t="shared" si="1"/>
        <v>-6751.860000000001</v>
      </c>
      <c r="J19" s="178">
        <f>F19/D19*100</f>
        <v>77.45622704507512</v>
      </c>
      <c r="K19" s="179">
        <f>F19-0</f>
        <v>23198.14</v>
      </c>
      <c r="L19" s="180"/>
      <c r="M19" s="35">
        <f>E19-травень!E19</f>
        <v>2720</v>
      </c>
      <c r="N19" s="35">
        <f>F19-травень!F19</f>
        <v>57.659999999999854</v>
      </c>
      <c r="O19" s="47">
        <f t="shared" si="3"/>
        <v>-2662.34</v>
      </c>
      <c r="P19" s="50">
        <f t="shared" si="5"/>
        <v>2.119852941176465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86469.4</v>
      </c>
      <c r="F20" s="169">
        <f>F21+F25+F27+F26</f>
        <v>89542.33</v>
      </c>
      <c r="G20" s="43">
        <f t="shared" si="0"/>
        <v>3072.9300000000076</v>
      </c>
      <c r="H20" s="35">
        <f t="shared" si="4"/>
        <v>103.5537774056487</v>
      </c>
      <c r="I20" s="50">
        <f t="shared" si="1"/>
        <v>-77227.67</v>
      </c>
      <c r="J20" s="178">
        <f aca="true" t="shared" si="6" ref="J20:J46">F20/D20*100</f>
        <v>53.69210889248666</v>
      </c>
      <c r="K20" s="178">
        <f>K21+K25+K26+K27</f>
        <v>18842.769999999997</v>
      </c>
      <c r="L20" s="136"/>
      <c r="M20" s="35">
        <f>E20-травень!E20</f>
        <v>10717.799999999988</v>
      </c>
      <c r="N20" s="35">
        <f>F20-травень!F20</f>
        <v>1188.9800000000105</v>
      </c>
      <c r="O20" s="47">
        <f t="shared" si="3"/>
        <v>-9528.819999999978</v>
      </c>
      <c r="P20" s="50">
        <f t="shared" si="5"/>
        <v>11.093507996044075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48277.2</v>
      </c>
      <c r="F21" s="169">
        <f>F22+F23+F24</f>
        <v>46314.049999999996</v>
      </c>
      <c r="G21" s="43">
        <f t="shared" si="0"/>
        <v>-1963.1500000000015</v>
      </c>
      <c r="H21" s="35">
        <f t="shared" si="4"/>
        <v>95.93358769771237</v>
      </c>
      <c r="I21" s="50">
        <f t="shared" si="1"/>
        <v>-51885.950000000004</v>
      </c>
      <c r="J21" s="178">
        <f t="shared" si="6"/>
        <v>47.16298370672097</v>
      </c>
      <c r="K21" s="178">
        <f>K22+K23+K24</f>
        <v>13479.789999999999</v>
      </c>
      <c r="L21" s="136"/>
      <c r="M21" s="35">
        <f>E21-травень!E21</f>
        <v>8363.099999999999</v>
      </c>
      <c r="N21" s="35">
        <f>F21-травень!F21</f>
        <v>522.6999999999898</v>
      </c>
      <c r="O21" s="47">
        <f t="shared" si="3"/>
        <v>-7840.400000000009</v>
      </c>
      <c r="P21" s="50">
        <f t="shared" si="5"/>
        <v>6.250074733053412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286.2</v>
      </c>
      <c r="F22" s="144">
        <v>4465.08</v>
      </c>
      <c r="G22" s="135">
        <f t="shared" si="0"/>
        <v>4178.88</v>
      </c>
      <c r="H22" s="137">
        <f t="shared" si="4"/>
        <v>1560.125786163522</v>
      </c>
      <c r="I22" s="136">
        <f t="shared" si="1"/>
        <v>3465.08</v>
      </c>
      <c r="J22" s="136">
        <f t="shared" si="6"/>
        <v>446.5079999999999</v>
      </c>
      <c r="K22" s="136">
        <f>F22-129.75</f>
        <v>4335.33</v>
      </c>
      <c r="L22" s="136">
        <f>F22/129.75*100</f>
        <v>3441.2947976878613</v>
      </c>
      <c r="M22" s="137">
        <f>E22-травень!E22</f>
        <v>10.099999999999966</v>
      </c>
      <c r="N22" s="137">
        <f>F22-травень!F22</f>
        <v>25.61999999999989</v>
      </c>
      <c r="O22" s="138">
        <f t="shared" si="3"/>
        <v>15.519999999999925</v>
      </c>
      <c r="P22" s="136">
        <f t="shared" si="5"/>
        <v>253.66336633663343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179.34</v>
      </c>
      <c r="G23" s="135">
        <f t="shared" si="0"/>
        <v>-70.66</v>
      </c>
      <c r="H23" s="137"/>
      <c r="I23" s="136">
        <f t="shared" si="1"/>
        <v>-1320.66</v>
      </c>
      <c r="J23" s="136">
        <f t="shared" si="6"/>
        <v>11.956</v>
      </c>
      <c r="K23" s="136">
        <f>F23-0</f>
        <v>179.34</v>
      </c>
      <c r="L23" s="136"/>
      <c r="M23" s="137">
        <f>E23-травень!E23</f>
        <v>0</v>
      </c>
      <c r="N23" s="137">
        <f>F23-травень!F23</f>
        <v>6.25</v>
      </c>
      <c r="O23" s="138">
        <f t="shared" si="3"/>
        <v>6.25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144">
        <v>41669.63</v>
      </c>
      <c r="G24" s="135">
        <f t="shared" si="0"/>
        <v>-6071.370000000003</v>
      </c>
      <c r="H24" s="137">
        <f t="shared" si="4"/>
        <v>87.28269202572211</v>
      </c>
      <c r="I24" s="136">
        <f t="shared" si="1"/>
        <v>-54030.37</v>
      </c>
      <c r="J24" s="136">
        <f t="shared" si="6"/>
        <v>43.54193312434692</v>
      </c>
      <c r="K24" s="139">
        <f>F24-32704.51</f>
        <v>8965.119999999999</v>
      </c>
      <c r="L24" s="139">
        <f>F24/32704.51*100</f>
        <v>127.41248836934112</v>
      </c>
      <c r="M24" s="137">
        <f>E24-травень!E24</f>
        <v>8353</v>
      </c>
      <c r="N24" s="137">
        <f>F24-травень!F24</f>
        <v>490.82999999999447</v>
      </c>
      <c r="O24" s="138">
        <f t="shared" si="3"/>
        <v>-7862.1700000000055</v>
      </c>
      <c r="P24" s="136">
        <f t="shared" si="5"/>
        <v>5.8760924218842865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168">
        <v>33.2</v>
      </c>
      <c r="G25" s="43">
        <f t="shared" si="0"/>
        <v>11.000000000000004</v>
      </c>
      <c r="H25" s="35">
        <f t="shared" si="4"/>
        <v>149.54954954954957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E25-травень!E25</f>
        <v>4.699999999999999</v>
      </c>
      <c r="N25" s="35">
        <f>F25-травень!F25</f>
        <v>0</v>
      </c>
      <c r="O25" s="47">
        <f t="shared" si="3"/>
        <v>-4.699999999999999</v>
      </c>
      <c r="P25" s="50">
        <f t="shared" si="5"/>
        <v>0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-265.51</v>
      </c>
      <c r="G26" s="43">
        <f t="shared" si="0"/>
        <v>-265.51</v>
      </c>
      <c r="H26" s="35"/>
      <c r="I26" s="50">
        <f t="shared" si="1"/>
        <v>-265.51</v>
      </c>
      <c r="J26" s="136"/>
      <c r="K26" s="178">
        <f>F26-2664.98</f>
        <v>-2930.49</v>
      </c>
      <c r="L26" s="178">
        <f>F26/2664.98*100</f>
        <v>-9.962926551043534</v>
      </c>
      <c r="M26" s="35">
        <f>E26-травень!E26</f>
        <v>0</v>
      </c>
      <c r="N26" s="35">
        <f>F26-травень!F26</f>
        <v>-60.01999999999998</v>
      </c>
      <c r="O26" s="47">
        <f t="shared" si="3"/>
        <v>-60.01999999999998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38170</v>
      </c>
      <c r="F27" s="168">
        <v>43460.59</v>
      </c>
      <c r="G27" s="43">
        <f t="shared" si="0"/>
        <v>5290.5899999999965</v>
      </c>
      <c r="H27" s="35">
        <f t="shared" si="4"/>
        <v>113.8605973277443</v>
      </c>
      <c r="I27" s="50">
        <f t="shared" si="1"/>
        <v>-25039.410000000003</v>
      </c>
      <c r="J27" s="178">
        <f t="shared" si="6"/>
        <v>63.44611678832116</v>
      </c>
      <c r="K27" s="132">
        <f>F27-35174.22</f>
        <v>8286.369999999995</v>
      </c>
      <c r="L27" s="132">
        <f>F27/35174.22*100</f>
        <v>123.55807747833497</v>
      </c>
      <c r="M27" s="35">
        <f>E27-травень!E27</f>
        <v>2350</v>
      </c>
      <c r="N27" s="35">
        <f>F27-травень!F27</f>
        <v>726.2999999999956</v>
      </c>
      <c r="O27" s="47">
        <f t="shared" si="3"/>
        <v>-1623.7000000000044</v>
      </c>
      <c r="P27" s="50">
        <f t="shared" si="5"/>
        <v>30.90638297872322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9740</v>
      </c>
      <c r="F29" s="144">
        <v>11013.59</v>
      </c>
      <c r="G29" s="135">
        <f t="shared" si="0"/>
        <v>1273.5900000000001</v>
      </c>
      <c r="H29" s="137">
        <f t="shared" si="4"/>
        <v>113.0758726899384</v>
      </c>
      <c r="I29" s="136">
        <f t="shared" si="1"/>
        <v>-5486.41</v>
      </c>
      <c r="J29" s="136">
        <f t="shared" si="6"/>
        <v>66.7490303030303</v>
      </c>
      <c r="K29" s="139">
        <f>F29-9886.89</f>
        <v>1126.7000000000007</v>
      </c>
      <c r="L29" s="139">
        <f>F29/9886.89*100</f>
        <v>111.39589901374447</v>
      </c>
      <c r="M29" s="137">
        <f>E29-травень!E29</f>
        <v>600</v>
      </c>
      <c r="N29" s="137">
        <f>F29-травень!F29</f>
        <v>188.13999999999942</v>
      </c>
      <c r="O29" s="138">
        <f t="shared" si="3"/>
        <v>-411.8600000000006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28430</v>
      </c>
      <c r="F30" s="144">
        <v>32441.24</v>
      </c>
      <c r="G30" s="135">
        <f t="shared" si="0"/>
        <v>4011.2400000000016</v>
      </c>
      <c r="H30" s="137">
        <f t="shared" si="4"/>
        <v>114.10918044319382</v>
      </c>
      <c r="I30" s="136">
        <f t="shared" si="1"/>
        <v>-19558.76</v>
      </c>
      <c r="J30" s="136">
        <f t="shared" si="6"/>
        <v>62.387</v>
      </c>
      <c r="K30" s="139">
        <f>F30-25287.05</f>
        <v>7154.190000000002</v>
      </c>
      <c r="L30" s="139">
        <f>F30/25287.05*100</f>
        <v>128.29191226339174</v>
      </c>
      <c r="M30" s="137">
        <f>E30-травень!E30</f>
        <v>1750</v>
      </c>
      <c r="N30" s="137">
        <f>F30-травень!F30</f>
        <v>538.1599999999999</v>
      </c>
      <c r="O30" s="138">
        <f t="shared" si="3"/>
        <v>-1211.8400000000001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E31-травень!E31</f>
        <v>0</v>
      </c>
      <c r="N31" s="137">
        <f>F31-травень!F31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168">
        <v>4020.69</v>
      </c>
      <c r="G32" s="43">
        <f t="shared" si="0"/>
        <v>25.889999999999873</v>
      </c>
      <c r="H32" s="35">
        <f t="shared" si="4"/>
        <v>100.64809252027635</v>
      </c>
      <c r="I32" s="50">
        <f t="shared" si="1"/>
        <v>-3479.31</v>
      </c>
      <c r="J32" s="178">
        <f t="shared" si="6"/>
        <v>53.6092</v>
      </c>
      <c r="K32" s="178">
        <f>F32-5292.86</f>
        <v>-1272.1699999999996</v>
      </c>
      <c r="L32" s="178">
        <f>F32/2618.43*100</f>
        <v>153.5534652444404</v>
      </c>
      <c r="M32" s="35">
        <f>E32-травень!E32</f>
        <v>0.3000000000001819</v>
      </c>
      <c r="N32" s="35">
        <f>F32-травень!F32</f>
        <v>0.07000000000016371</v>
      </c>
      <c r="O32" s="47">
        <f t="shared" si="3"/>
        <v>-0.2300000000000182</v>
      </c>
      <c r="P32" s="50">
        <f t="shared" si="5"/>
        <v>23.333333333373755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18">
        <f>F34+F35+F36+F37+F38+F41+F42+F47+F48+F52+F40+F39</f>
        <v>14338.970000000001</v>
      </c>
      <c r="G33" s="44">
        <f t="shared" si="0"/>
        <v>8221.470000000001</v>
      </c>
      <c r="H33" s="45">
        <f>F33/E33*100</f>
        <v>234.39264405394363</v>
      </c>
      <c r="I33" s="31">
        <f t="shared" si="1"/>
        <v>1771.8700000000008</v>
      </c>
      <c r="J33" s="31">
        <f t="shared" si="6"/>
        <v>114.09927509130986</v>
      </c>
      <c r="K33" s="18">
        <f>K34+K35+K36+K37+K38+K41+K42+K47+K48+K52+K40</f>
        <v>8988.18</v>
      </c>
      <c r="L33" s="18"/>
      <c r="M33" s="18">
        <f>M34+M35+M36+M37+M38+M41+M42+M47+M48+M52+M40+M39</f>
        <v>954.5</v>
      </c>
      <c r="N33" s="18">
        <f>N34+N35+N36+N37+N38+N41+N42+N47+N48+N52+N40+N39</f>
        <v>1343.4400000000007</v>
      </c>
      <c r="O33" s="49">
        <f t="shared" si="3"/>
        <v>388.94000000000074</v>
      </c>
      <c r="P33" s="31">
        <f>N33/M33*100</f>
        <v>140.7480356207439</v>
      </c>
      <c r="Q33" s="31">
        <f>N33-1017.63</f>
        <v>325.81000000000074</v>
      </c>
      <c r="R33" s="127">
        <f>N33/1017.63</f>
        <v>1.3201654825427718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143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118.2</v>
      </c>
      <c r="G36" s="43">
        <f t="shared" si="0"/>
        <v>118.2</v>
      </c>
      <c r="H36" s="35"/>
      <c r="I36" s="50">
        <f t="shared" si="1"/>
        <v>118.2</v>
      </c>
      <c r="J36" s="50"/>
      <c r="K36" s="50">
        <f>F36-214.58</f>
        <v>-96.38000000000001</v>
      </c>
      <c r="L36" s="50">
        <f>F36/214.58*100</f>
        <v>55.08435082486718</v>
      </c>
      <c r="M36" s="35">
        <f>E36-травень!E36</f>
        <v>0</v>
      </c>
      <c r="N36" s="35">
        <f>F36-травень!F36</f>
        <v>5.400000000000006</v>
      </c>
      <c r="O36" s="47">
        <f t="shared" si="3"/>
        <v>5.400000000000006</v>
      </c>
      <c r="P36" s="50"/>
      <c r="Q36" s="50">
        <f>N36-4.23</f>
        <v>1.1700000000000053</v>
      </c>
      <c r="R36" s="126">
        <f>N36/4.23</f>
        <v>1.2765957446808522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143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F37-5.08</f>
        <v>-5.08</v>
      </c>
      <c r="L37" s="50">
        <f>F37/5.08*100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143">
        <v>68.9</v>
      </c>
      <c r="G38" s="43">
        <f t="shared" si="0"/>
        <v>3.9000000000000057</v>
      </c>
      <c r="H38" s="35">
        <f>F38/E38*100</f>
        <v>106</v>
      </c>
      <c r="I38" s="50">
        <f t="shared" si="1"/>
        <v>-71.1</v>
      </c>
      <c r="J38" s="50">
        <f t="shared" si="6"/>
        <v>49.214285714285715</v>
      </c>
      <c r="K38" s="50">
        <f>F38-47.09</f>
        <v>21.810000000000002</v>
      </c>
      <c r="L38" s="50">
        <f>F38/47.09*100</f>
        <v>146.31556593756636</v>
      </c>
      <c r="M38" s="35">
        <f>E38-травень!E38</f>
        <v>14</v>
      </c>
      <c r="N38" s="35">
        <f>F38-травень!F38</f>
        <v>3.719999999999999</v>
      </c>
      <c r="O38" s="47">
        <f t="shared" si="3"/>
        <v>-10.280000000000001</v>
      </c>
      <c r="P38" s="50">
        <f>N38/M38*100</f>
        <v>26.571428571428562</v>
      </c>
      <c r="Q38" s="50">
        <f>N38-9.02</f>
        <v>-5.300000000000001</v>
      </c>
      <c r="R38" s="126">
        <f>N38/9.02</f>
        <v>0.41241685144124157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4327.97</v>
      </c>
      <c r="G40" s="43"/>
      <c r="H40" s="35"/>
      <c r="I40" s="50">
        <f t="shared" si="1"/>
        <v>4327.97</v>
      </c>
      <c r="J40" s="50"/>
      <c r="K40" s="50">
        <f>F40-0</f>
        <v>4327.97</v>
      </c>
      <c r="L40" s="50"/>
      <c r="M40" s="35">
        <f>E40-травень!E40</f>
        <v>0</v>
      </c>
      <c r="N40" s="35">
        <f>F40-травень!F40</f>
        <v>212.4300000000003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143">
        <v>4302.68</v>
      </c>
      <c r="G41" s="43">
        <f t="shared" si="0"/>
        <v>782.6800000000003</v>
      </c>
      <c r="H41" s="35">
        <f>F41/E41*100</f>
        <v>122.23522727272729</v>
      </c>
      <c r="I41" s="50">
        <f t="shared" si="1"/>
        <v>-2597.3199999999997</v>
      </c>
      <c r="J41" s="50">
        <f t="shared" si="6"/>
        <v>62.357681159420295</v>
      </c>
      <c r="K41" s="50">
        <f>F41-2962.16</f>
        <v>1340.5200000000004</v>
      </c>
      <c r="L41" s="50">
        <f>F41/2962.16*100</f>
        <v>145.2548140546088</v>
      </c>
      <c r="M41" s="35">
        <f>E41-травень!E41</f>
        <v>550</v>
      </c>
      <c r="N41" s="35">
        <f>F41-травень!F41</f>
        <v>899.5400000000004</v>
      </c>
      <c r="O41" s="47">
        <f t="shared" si="3"/>
        <v>349.5400000000004</v>
      </c>
      <c r="P41" s="50">
        <f>N41/M41*100</f>
        <v>163.55272727272734</v>
      </c>
      <c r="Q41" s="50">
        <f>N41-647.49</f>
        <v>252.0500000000004</v>
      </c>
      <c r="R41" s="126">
        <f>N41/647.49</f>
        <v>1.3892724211956948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143">
        <v>3521.65</v>
      </c>
      <c r="G42" s="43">
        <f t="shared" si="0"/>
        <v>3071.65</v>
      </c>
      <c r="H42" s="35">
        <f>F42/E42*100</f>
        <v>782.5888888888888</v>
      </c>
      <c r="I42" s="50">
        <f t="shared" si="1"/>
        <v>2421.65</v>
      </c>
      <c r="J42" s="50">
        <f t="shared" si="6"/>
        <v>320.15000000000003</v>
      </c>
      <c r="K42" s="50">
        <f>F42-350.98</f>
        <v>3170.67</v>
      </c>
      <c r="L42" s="50">
        <f>F42/350.98*100</f>
        <v>1003.3762607555985</v>
      </c>
      <c r="M42" s="35">
        <f>E42-травень!E42</f>
        <v>70</v>
      </c>
      <c r="N42" s="35">
        <f>F42-травень!F42</f>
        <v>153.05000000000018</v>
      </c>
      <c r="O42" s="47">
        <f t="shared" si="3"/>
        <v>83.05000000000018</v>
      </c>
      <c r="P42" s="50">
        <f>N42/M42*100</f>
        <v>218.6428571428574</v>
      </c>
      <c r="Q42" s="50">
        <f>N42-79.51</f>
        <v>73.54000000000018</v>
      </c>
      <c r="R42" s="126">
        <f>N42/79.51</f>
        <v>1.924915105018239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144">
        <v>419.2</v>
      </c>
      <c r="G43" s="135">
        <f t="shared" si="0"/>
        <v>29.19999999999999</v>
      </c>
      <c r="H43" s="137">
        <f>F43/E43*100</f>
        <v>107.48717948717947</v>
      </c>
      <c r="I43" s="136">
        <f t="shared" si="1"/>
        <v>-550.8</v>
      </c>
      <c r="J43" s="136">
        <f t="shared" si="6"/>
        <v>43.21649484536083</v>
      </c>
      <c r="K43" s="136">
        <f>F43-304.83</f>
        <v>114.37</v>
      </c>
      <c r="L43" s="136">
        <f>F43/304.83*100</f>
        <v>137.5192730374307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0"/>
        <v>44.74</v>
      </c>
      <c r="H44" s="137"/>
      <c r="I44" s="136">
        <f t="shared" si="1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0"/>
        <v>0.73</v>
      </c>
      <c r="H45" s="137"/>
      <c r="I45" s="136">
        <f t="shared" si="1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144">
        <v>3056.97</v>
      </c>
      <c r="G46" s="135">
        <f t="shared" si="0"/>
        <v>2976.97</v>
      </c>
      <c r="H46" s="137">
        <f>F46/E46*100</f>
        <v>3821.2125</v>
      </c>
      <c r="I46" s="136">
        <f t="shared" si="1"/>
        <v>2926.97</v>
      </c>
      <c r="J46" s="136">
        <f t="shared" si="6"/>
        <v>2351.5153846153844</v>
      </c>
      <c r="K46" s="136">
        <f>F46-46.16</f>
        <v>3010.81</v>
      </c>
      <c r="L46" s="136">
        <f>F46/46.16*100</f>
        <v>6622.551993067592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</f>
        <v>0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143">
        <v>1896.07</v>
      </c>
      <c r="G48" s="43">
        <f t="shared" si="0"/>
        <v>-83.93000000000006</v>
      </c>
      <c r="H48" s="35">
        <f>F48/E48*100</f>
        <v>95.7611111111111</v>
      </c>
      <c r="I48" s="50">
        <f t="shared" si="1"/>
        <v>-2303.9300000000003</v>
      </c>
      <c r="J48" s="50">
        <f>F48/D48*100</f>
        <v>45.144523809523804</v>
      </c>
      <c r="K48" s="50">
        <f>F48-1649.93</f>
        <v>246.13999999999987</v>
      </c>
      <c r="L48" s="50">
        <f>F48/1649.93*100</f>
        <v>114.9182086512761</v>
      </c>
      <c r="M48" s="35">
        <f>E48-травень!E48</f>
        <v>310</v>
      </c>
      <c r="N48" s="35">
        <f>F48-травень!F48</f>
        <v>68.20000000000005</v>
      </c>
      <c r="O48" s="47">
        <f t="shared" si="3"/>
        <v>-241.79999999999995</v>
      </c>
      <c r="P48" s="50">
        <f aca="true" t="shared" si="7" ref="P48:P53">N48/M48*100</f>
        <v>22.000000000000014</v>
      </c>
      <c r="Q48" s="50">
        <f>N48-277.38</f>
        <v>-209.17999999999995</v>
      </c>
      <c r="R48" s="126">
        <f>N48/277.38</f>
        <v>0.24587208883120645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460.1</v>
      </c>
      <c r="G51" s="135">
        <f t="shared" si="0"/>
        <v>460.1</v>
      </c>
      <c r="H51" s="137"/>
      <c r="I51" s="136">
        <f t="shared" si="1"/>
        <v>460.1</v>
      </c>
      <c r="J51" s="136"/>
      <c r="K51" s="136">
        <f>F51-290</f>
        <v>170.10000000000002</v>
      </c>
      <c r="L51" s="138">
        <f>F51/290*100</f>
        <v>158.6551724137931</v>
      </c>
      <c r="M51" s="137">
        <f>E51-травень!E51</f>
        <v>0</v>
      </c>
      <c r="N51" s="137">
        <f>F51-травень!F51</f>
        <v>27.200000000000045</v>
      </c>
      <c r="O51" s="138">
        <f t="shared" si="3"/>
        <v>27.200000000000045</v>
      </c>
      <c r="P51" s="136"/>
      <c r="Q51" s="50">
        <f>N51-64.93</f>
        <v>-37.72999999999996</v>
      </c>
      <c r="R51" s="126">
        <f>N51/64.93</f>
        <v>0.4189126751886654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143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F54-0.04</f>
        <v>-0.02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270640.19999999995</v>
      </c>
      <c r="F55" s="18">
        <f>F8+F33+F53+F54</f>
        <v>278595.1100000001</v>
      </c>
      <c r="G55" s="44">
        <f>F55-E55</f>
        <v>7954.910000000149</v>
      </c>
      <c r="H55" s="45">
        <f>F55/E55*100</f>
        <v>102.93929357131726</v>
      </c>
      <c r="I55" s="31">
        <f>F55-D55</f>
        <v>-251427.48999999987</v>
      </c>
      <c r="J55" s="31">
        <f>F55/D55*100</f>
        <v>52.562873734063444</v>
      </c>
      <c r="K55" s="31">
        <f>K8+K33+K53+K54</f>
        <v>77583.69000000002</v>
      </c>
      <c r="L55" s="31">
        <f>(K55/(F55+K55))*100</f>
        <v>21.782231283838343</v>
      </c>
      <c r="M55" s="18">
        <f>M8+M33+M53+M54</f>
        <v>41940.89999999999</v>
      </c>
      <c r="N55" s="18">
        <f>N8+N33+N53+N54</f>
        <v>12860.940000000019</v>
      </c>
      <c r="O55" s="49">
        <f>N55-M55</f>
        <v>-29079.95999999997</v>
      </c>
      <c r="P55" s="31">
        <f>N55/M55*100</f>
        <v>30.664434954900877</v>
      </c>
      <c r="Q55" s="31">
        <f>N55-34768</f>
        <v>-21907.059999999983</v>
      </c>
      <c r="R55" s="171">
        <f>N55/34768</f>
        <v>0.36990738610216345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-27.69</v>
      </c>
      <c r="G61" s="43">
        <f aca="true" t="shared" si="8" ref="G61:G68">F61-E61</f>
        <v>-27.69</v>
      </c>
      <c r="H61" s="35"/>
      <c r="I61" s="53">
        <f aca="true" t="shared" si="9" ref="I61:I68">F61-D61</f>
        <v>-27.69</v>
      </c>
      <c r="J61" s="53"/>
      <c r="K61" s="47">
        <f>F61-119.54</f>
        <v>-147.23000000000002</v>
      </c>
      <c r="L61" s="53"/>
      <c r="M61" s="35">
        <v>0</v>
      </c>
      <c r="N61" s="36">
        <f>F61-травень!F61</f>
        <v>-8.3</v>
      </c>
      <c r="O61" s="47">
        <f aca="true" t="shared" si="10" ref="O61:O68">N61-M61</f>
        <v>-8.3</v>
      </c>
      <c r="P61" s="53"/>
      <c r="Q61" s="53">
        <f>N61-24.53</f>
        <v>-32.83</v>
      </c>
      <c r="R61" s="129">
        <f>N61/24.53</f>
        <v>-0.3383611903791276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-27.69</v>
      </c>
      <c r="G62" s="55">
        <f t="shared" si="8"/>
        <v>-27.69</v>
      </c>
      <c r="H62" s="65"/>
      <c r="I62" s="54">
        <f t="shared" si="9"/>
        <v>-27.69</v>
      </c>
      <c r="J62" s="54"/>
      <c r="K62" s="54">
        <f>K60+K61</f>
        <v>-146.13000000000002</v>
      </c>
      <c r="L62" s="54"/>
      <c r="M62" s="55">
        <f>M61</f>
        <v>0</v>
      </c>
      <c r="N62" s="33">
        <f>SUM(N60:N61)</f>
        <v>-8.3</v>
      </c>
      <c r="O62" s="54">
        <f t="shared" si="10"/>
        <v>-8.3</v>
      </c>
      <c r="P62" s="54"/>
      <c r="Q62" s="54">
        <f>N62-92.85</f>
        <v>-101.14999999999999</v>
      </c>
      <c r="R62" s="130">
        <f>N62/92.85</f>
        <v>-0.0893914916532041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193.97</v>
      </c>
      <c r="G64" s="43">
        <f t="shared" si="8"/>
        <v>-206.03</v>
      </c>
      <c r="H64" s="35"/>
      <c r="I64" s="53">
        <f t="shared" si="9"/>
        <v>-2306.03</v>
      </c>
      <c r="J64" s="53">
        <f t="shared" si="11"/>
        <v>7.758800000000001</v>
      </c>
      <c r="K64" s="53">
        <f>F64-1611.93</f>
        <v>-1417.96</v>
      </c>
      <c r="L64" s="53">
        <f>F64/1611.93*100</f>
        <v>12.033400954135725</v>
      </c>
      <c r="M64" s="35">
        <f>E64-травень!E64</f>
        <v>0</v>
      </c>
      <c r="N64" s="35">
        <f>F64-травень!F64</f>
        <v>0.009999999999990905</v>
      </c>
      <c r="O64" s="47">
        <f t="shared" si="10"/>
        <v>0.009999999999990905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146">
        <v>2467.51</v>
      </c>
      <c r="G65" s="43">
        <f t="shared" si="8"/>
        <v>-32.1899999999996</v>
      </c>
      <c r="H65" s="35">
        <f>F65/E65*100</f>
        <v>98.71224546945635</v>
      </c>
      <c r="I65" s="53">
        <f t="shared" si="9"/>
        <v>-9108.49</v>
      </c>
      <c r="J65" s="53">
        <f t="shared" si="11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E65-травень!E65</f>
        <v>436.03999999999996</v>
      </c>
      <c r="N65" s="35">
        <f>F65-травень!F65</f>
        <v>0</v>
      </c>
      <c r="O65" s="47">
        <f t="shared" si="10"/>
        <v>-436.03999999999996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146">
        <v>1668.42</v>
      </c>
      <c r="G66" s="43">
        <f t="shared" si="8"/>
        <v>927.9200000000001</v>
      </c>
      <c r="H66" s="35">
        <f>F66/E66*100</f>
        <v>225.30992572586092</v>
      </c>
      <c r="I66" s="53">
        <f t="shared" si="9"/>
        <v>-1331.58</v>
      </c>
      <c r="J66" s="53">
        <f t="shared" si="11"/>
        <v>55.614000000000004</v>
      </c>
      <c r="K66" s="53">
        <f>F66-700.79</f>
        <v>967.6300000000001</v>
      </c>
      <c r="L66" s="53">
        <f>F66/700.79*100</f>
        <v>238.0770273548424</v>
      </c>
      <c r="M66" s="35">
        <f>E66-травень!E66</f>
        <v>148.10000000000002</v>
      </c>
      <c r="N66" s="35">
        <f>F66-травень!F66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145">
        <f>F64+F65+F66</f>
        <v>4329.9</v>
      </c>
      <c r="G67" s="55">
        <f t="shared" si="8"/>
        <v>689.6999999999998</v>
      </c>
      <c r="H67" s="65">
        <f>F67/E67*100</f>
        <v>118.94676116696886</v>
      </c>
      <c r="I67" s="54">
        <f t="shared" si="9"/>
        <v>-12746.1</v>
      </c>
      <c r="J67" s="54">
        <f t="shared" si="11"/>
        <v>25.356640899508083</v>
      </c>
      <c r="K67" s="54">
        <f>K64+K65+K66</f>
        <v>-53.56999999999971</v>
      </c>
      <c r="L67" s="54"/>
      <c r="M67" s="55">
        <f>M64+M65+M66</f>
        <v>584.14</v>
      </c>
      <c r="N67" s="55">
        <f>N64+N65+N66</f>
        <v>0.2300000000000182</v>
      </c>
      <c r="O67" s="54">
        <f t="shared" si="10"/>
        <v>-583.91</v>
      </c>
      <c r="P67" s="54">
        <f>N67/M67*100</f>
        <v>0.03937412264183555</v>
      </c>
      <c r="Q67" s="54">
        <f>N67-7985.28</f>
        <v>-7985.049999999999</v>
      </c>
      <c r="R67" s="173">
        <f>N67/7985.28</f>
        <v>2.880299751543067E-05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F68-10.71</f>
        <v>-10.71</v>
      </c>
      <c r="L68" s="53">
        <f>F68/10.71*100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E70-травень!E70</f>
        <v>0</v>
      </c>
      <c r="N70" s="35">
        <f>F70-травень!F70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145">
        <f>F68+F70+F69</f>
        <v>0.95</v>
      </c>
      <c r="G71" s="55">
        <f>F71-E71</f>
        <v>-23.05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3</v>
      </c>
      <c r="N71" s="55">
        <f>N68+N70+N69</f>
        <v>0</v>
      </c>
      <c r="O71" s="54">
        <f>N71-M71</f>
        <v>-3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146">
        <v>14.05</v>
      </c>
      <c r="G72" s="43">
        <f>F72-E72</f>
        <v>-7.739999999999998</v>
      </c>
      <c r="H72" s="35">
        <f>F72/E72*100</f>
        <v>64.47911886186326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E72-травень!E72</f>
        <v>8</v>
      </c>
      <c r="N72" s="35">
        <f>F72-травень!F72</f>
        <v>0</v>
      </c>
      <c r="O72" s="47">
        <f>N72-M72</f>
        <v>-8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7">
        <f>F62+F72+F67+F71+F73</f>
        <v>4317.409999999999</v>
      </c>
      <c r="G74" s="44">
        <f>F74-E74</f>
        <v>631.4199999999992</v>
      </c>
      <c r="H74" s="45">
        <f>F74/E74*100</f>
        <v>117.13026893724614</v>
      </c>
      <c r="I74" s="31">
        <f>F74-D74</f>
        <v>-12854.59</v>
      </c>
      <c r="J74" s="31">
        <f>F74/D74*100</f>
        <v>25.142150011646862</v>
      </c>
      <c r="K74" s="31">
        <f>K62+K67+K71+K72</f>
        <v>-226.35999999999973</v>
      </c>
      <c r="L74" s="31"/>
      <c r="M74" s="27">
        <f>M62+M72+M67+M71</f>
        <v>595.14</v>
      </c>
      <c r="N74" s="27">
        <f>N62+N72+N67+N71+N73</f>
        <v>-8.069999999999983</v>
      </c>
      <c r="O74" s="31">
        <f>N74-M74</f>
        <v>-603.2099999999999</v>
      </c>
      <c r="P74" s="31">
        <f>N74/M74*100</f>
        <v>-1.3559834660752061</v>
      </c>
      <c r="Q74" s="31">
        <f>N74-8104.96</f>
        <v>-8113.03</v>
      </c>
      <c r="R74" s="127">
        <f>N74/8104.96</f>
        <v>-0.000995686591914085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274326.18999999994</v>
      </c>
      <c r="F75" s="27">
        <f>F55+F74</f>
        <v>282912.5200000001</v>
      </c>
      <c r="G75" s="44">
        <f>F75-E75</f>
        <v>8586.330000000133</v>
      </c>
      <c r="H75" s="45">
        <f>F75/E75*100</f>
        <v>103.12997092986278</v>
      </c>
      <c r="I75" s="31">
        <f>F75-D75</f>
        <v>-264282.0799999999</v>
      </c>
      <c r="J75" s="31">
        <f>F75/D75*100</f>
        <v>51.702359635859</v>
      </c>
      <c r="K75" s="31">
        <f>K55+K74</f>
        <v>77357.33000000002</v>
      </c>
      <c r="L75" s="31"/>
      <c r="M75" s="18">
        <f>M55+M74</f>
        <v>42536.039999999986</v>
      </c>
      <c r="N75" s="18">
        <f>N55+N74</f>
        <v>12852.870000000019</v>
      </c>
      <c r="O75" s="31">
        <f>N75-M75</f>
        <v>-29683.16999999997</v>
      </c>
      <c r="P75" s="31">
        <f>N75/M75*100</f>
        <v>30.216423531668728</v>
      </c>
      <c r="Q75" s="31">
        <f>N75-42872.96</f>
        <v>-30020.089999999982</v>
      </c>
      <c r="R75" s="127">
        <f>N75/42872.96</f>
        <v>0.2997896576303577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15</v>
      </c>
      <c r="D77" s="4" t="s">
        <v>118</v>
      </c>
    </row>
    <row r="78" spans="2:17" ht="31.5">
      <c r="B78" s="71" t="s">
        <v>154</v>
      </c>
      <c r="C78" s="34">
        <f>IF(O55&lt;0,ABS(O55/C77),0)</f>
        <v>1938.663999999998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42163</v>
      </c>
      <c r="D79" s="34">
        <v>2110.9</v>
      </c>
      <c r="N79" s="232"/>
      <c r="O79" s="232"/>
    </row>
    <row r="80" spans="3:15" ht="15.75">
      <c r="C80" s="111">
        <v>42160</v>
      </c>
      <c r="D80" s="34">
        <v>5402.9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42159</v>
      </c>
      <c r="D81" s="34">
        <v>2682.3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155776.58054</v>
      </c>
      <c r="E83" s="73"/>
      <c r="F83" s="156" t="s">
        <v>147</v>
      </c>
      <c r="G83" s="238" t="s">
        <v>149</v>
      </c>
      <c r="H83" s="238"/>
      <c r="I83" s="107">
        <v>146866.84832999998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274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266</v>
      </c>
      <c r="N3" s="218" t="s">
        <v>267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262</v>
      </c>
      <c r="F4" s="223" t="s">
        <v>116</v>
      </c>
      <c r="G4" s="225" t="s">
        <v>263</v>
      </c>
      <c r="H4" s="227" t="s">
        <v>264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273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432.9</v>
      </c>
      <c r="G51" s="135">
        <f t="shared" si="7"/>
        <v>432.9</v>
      </c>
      <c r="H51" s="137"/>
      <c r="I51" s="136">
        <f t="shared" si="8"/>
        <v>432.9</v>
      </c>
      <c r="J51" s="136"/>
      <c r="K51" s="136">
        <f>F51-290</f>
        <v>142.89999999999998</v>
      </c>
      <c r="L51" s="138">
        <f>F51/290*100</f>
        <v>149.2758620689655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(K55/(F55+K55))*100</f>
        <v>19.58595754938715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/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2"/>
      <c r="O79" s="232"/>
    </row>
    <row r="80" spans="3:15" ht="15.75">
      <c r="C80" s="111">
        <v>42152</v>
      </c>
      <c r="D80" s="34">
        <v>5845.4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42151</v>
      </c>
      <c r="D81" s="34">
        <v>3158.7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153606.78</v>
      </c>
      <c r="E83" s="73"/>
      <c r="F83" s="156" t="s">
        <v>147</v>
      </c>
      <c r="G83" s="238" t="s">
        <v>149</v>
      </c>
      <c r="H83" s="238"/>
      <c r="I83" s="107">
        <v>144697.05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7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89" sqref="H8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240</v>
      </c>
      <c r="N3" s="218" t="s">
        <v>241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237</v>
      </c>
      <c r="F4" s="247" t="s">
        <v>116</v>
      </c>
      <c r="G4" s="225" t="s">
        <v>238</v>
      </c>
      <c r="H4" s="227" t="s">
        <v>239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260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48"/>
      <c r="G5" s="226"/>
      <c r="H5" s="228"/>
      <c r="I5" s="230"/>
      <c r="J5" s="217"/>
      <c r="K5" s="221" t="s">
        <v>242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1"/>
      <c r="H103" s="231"/>
      <c r="I103" s="231"/>
      <c r="J103" s="23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33"/>
      <c r="H105" s="233"/>
      <c r="I105" s="177"/>
      <c r="J105" s="234"/>
      <c r="K105" s="234"/>
      <c r="L105" s="234"/>
      <c r="M105" s="234"/>
      <c r="N105" s="232"/>
      <c r="O105" s="232"/>
    </row>
    <row r="106" spans="3:15" ht="15.75" customHeight="1">
      <c r="C106" s="111">
        <v>42122</v>
      </c>
      <c r="D106" s="34">
        <v>4962.7</v>
      </c>
      <c r="G106" s="238" t="s">
        <v>151</v>
      </c>
      <c r="H106" s="238"/>
      <c r="I106" s="106">
        <v>8909.73221</v>
      </c>
      <c r="J106" s="239"/>
      <c r="K106" s="239"/>
      <c r="L106" s="239"/>
      <c r="M106" s="239"/>
      <c r="N106" s="232"/>
      <c r="O106" s="232"/>
    </row>
    <row r="107" spans="7:13" ht="15.75" customHeight="1">
      <c r="G107" s="240" t="s">
        <v>234</v>
      </c>
      <c r="H107" s="241"/>
      <c r="I107" s="103">
        <v>0</v>
      </c>
      <c r="J107" s="234"/>
      <c r="K107" s="234"/>
      <c r="L107" s="234"/>
      <c r="M107" s="234"/>
    </row>
    <row r="108" spans="2:13" ht="18.75" customHeight="1">
      <c r="B108" s="242" t="s">
        <v>160</v>
      </c>
      <c r="C108" s="243"/>
      <c r="D108" s="108">
        <v>154856.06924</v>
      </c>
      <c r="E108" s="73"/>
      <c r="F108" s="202" t="s">
        <v>147</v>
      </c>
      <c r="G108" s="238" t="s">
        <v>149</v>
      </c>
      <c r="H108" s="238"/>
      <c r="I108" s="107">
        <v>145946.33703</v>
      </c>
      <c r="J108" s="234"/>
      <c r="K108" s="234"/>
      <c r="L108" s="234"/>
      <c r="M108" s="234"/>
    </row>
    <row r="109" spans="7:12" ht="9.75" customHeight="1">
      <c r="G109" s="233"/>
      <c r="H109" s="233"/>
      <c r="I109" s="90"/>
      <c r="J109" s="91"/>
      <c r="K109" s="91"/>
      <c r="L109" s="91"/>
    </row>
    <row r="110" spans="2:12" ht="22.5" customHeight="1" hidden="1">
      <c r="B110" s="244" t="s">
        <v>167</v>
      </c>
      <c r="C110" s="245"/>
      <c r="D110" s="110">
        <v>0</v>
      </c>
      <c r="E110" s="70" t="s">
        <v>104</v>
      </c>
      <c r="G110" s="233"/>
      <c r="H110" s="233"/>
      <c r="I110" s="90"/>
      <c r="J110" s="91"/>
      <c r="K110" s="91"/>
      <c r="L110" s="91"/>
    </row>
    <row r="111" spans="4:15" ht="15.75">
      <c r="D111" s="105"/>
      <c r="N111" s="233"/>
      <c r="O111" s="233"/>
    </row>
    <row r="112" spans="4:15" ht="15.75">
      <c r="D112" s="104"/>
      <c r="I112" s="34"/>
      <c r="N112" s="246"/>
      <c r="O112" s="246"/>
    </row>
    <row r="113" spans="14:15" ht="15.75">
      <c r="N113" s="233"/>
      <c r="O113" s="23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231</v>
      </c>
      <c r="N3" s="218" t="s">
        <v>232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228</v>
      </c>
      <c r="F4" s="223" t="s">
        <v>116</v>
      </c>
      <c r="G4" s="225" t="s">
        <v>229</v>
      </c>
      <c r="H4" s="227" t="s">
        <v>230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236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233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42090</v>
      </c>
      <c r="D107" s="34">
        <v>4282.6</v>
      </c>
      <c r="G107" s="238" t="s">
        <v>151</v>
      </c>
      <c r="H107" s="238"/>
      <c r="I107" s="106">
        <f>8909732.21/1000</f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0" t="s">
        <v>234</v>
      </c>
      <c r="H108" s="241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147433239.77/1000</f>
        <v>147433.23977000001</v>
      </c>
      <c r="E109" s="73"/>
      <c r="F109" s="156" t="s">
        <v>147</v>
      </c>
      <c r="G109" s="238" t="s">
        <v>149</v>
      </c>
      <c r="H109" s="238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221</v>
      </c>
      <c r="N3" s="218" t="s">
        <v>202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199</v>
      </c>
      <c r="F4" s="223" t="s">
        <v>116</v>
      </c>
      <c r="G4" s="225" t="s">
        <v>200</v>
      </c>
      <c r="H4" s="227" t="s">
        <v>201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226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224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42060</v>
      </c>
      <c r="D107" s="34">
        <v>1551.3</v>
      </c>
      <c r="G107" s="238" t="s">
        <v>151</v>
      </c>
      <c r="H107" s="238"/>
      <c r="I107" s="106"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9" t="s">
        <v>155</v>
      </c>
      <c r="H108" s="249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138305956.27/1000</f>
        <v>138305.95627000002</v>
      </c>
      <c r="E109" s="73"/>
      <c r="F109" s="156" t="s">
        <v>147</v>
      </c>
      <c r="G109" s="238" t="s">
        <v>149</v>
      </c>
      <c r="H109" s="238"/>
      <c r="I109" s="107">
        <v>129396.23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220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219</v>
      </c>
      <c r="F4" s="223" t="s">
        <v>116</v>
      </c>
      <c r="G4" s="225" t="s">
        <v>173</v>
      </c>
      <c r="H4" s="256" t="s">
        <v>174</v>
      </c>
      <c r="I4" s="254" t="s">
        <v>217</v>
      </c>
      <c r="J4" s="252" t="s">
        <v>218</v>
      </c>
      <c r="K4" s="116" t="s">
        <v>172</v>
      </c>
      <c r="L4" s="121" t="s">
        <v>171</v>
      </c>
      <c r="M4" s="216"/>
      <c r="N4" s="235" t="s">
        <v>194</v>
      </c>
      <c r="O4" s="254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7"/>
      <c r="I5" s="255"/>
      <c r="J5" s="253"/>
      <c r="K5" s="221" t="s">
        <v>188</v>
      </c>
      <c r="L5" s="222"/>
      <c r="M5" s="217"/>
      <c r="N5" s="236"/>
      <c r="O5" s="255"/>
      <c r="P5" s="218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1"/>
      <c r="H102" s="231"/>
      <c r="I102" s="231"/>
      <c r="J102" s="23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38" t="s">
        <v>151</v>
      </c>
      <c r="H104" s="238"/>
      <c r="I104" s="106">
        <f>'січень '!I139</f>
        <v>8909.733</v>
      </c>
      <c r="J104" s="250" t="s">
        <v>161</v>
      </c>
      <c r="K104" s="250"/>
      <c r="L104" s="250"/>
      <c r="M104" s="250"/>
      <c r="N104" s="232"/>
      <c r="O104" s="232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1" t="s">
        <v>162</v>
      </c>
      <c r="K105" s="251"/>
      <c r="L105" s="251"/>
      <c r="M105" s="251"/>
      <c r="N105" s="232"/>
      <c r="O105" s="232"/>
    </row>
    <row r="106" spans="7:13" ht="15.75" customHeight="1">
      <c r="G106" s="238" t="s">
        <v>148</v>
      </c>
      <c r="H106" s="238"/>
      <c r="I106" s="103">
        <f>'січень '!I141</f>
        <v>0</v>
      </c>
      <c r="J106" s="250" t="s">
        <v>163</v>
      </c>
      <c r="K106" s="250"/>
      <c r="L106" s="250"/>
      <c r="M106" s="250"/>
    </row>
    <row r="107" spans="2:13" ht="18.75" customHeight="1">
      <c r="B107" s="242" t="s">
        <v>160</v>
      </c>
      <c r="C107" s="243"/>
      <c r="D107" s="108">
        <f>'січень '!D142</f>
        <v>132375.63</v>
      </c>
      <c r="E107" s="73"/>
      <c r="F107" s="156" t="s">
        <v>147</v>
      </c>
      <c r="G107" s="238" t="s">
        <v>149</v>
      </c>
      <c r="H107" s="238"/>
      <c r="I107" s="107">
        <f>'січень '!I142</f>
        <v>123465.893</v>
      </c>
      <c r="J107" s="250" t="s">
        <v>164</v>
      </c>
      <c r="K107" s="250"/>
      <c r="L107" s="250"/>
      <c r="M107" s="250"/>
    </row>
    <row r="108" spans="7:12" ht="9.75" customHeight="1">
      <c r="G108" s="233"/>
      <c r="H108" s="233"/>
      <c r="I108" s="90"/>
      <c r="J108" s="91"/>
      <c r="K108" s="91"/>
      <c r="L108" s="91"/>
    </row>
    <row r="109" spans="2:12" ht="22.5" customHeight="1" hidden="1">
      <c r="B109" s="244" t="s">
        <v>167</v>
      </c>
      <c r="C109" s="245"/>
      <c r="D109" s="110">
        <v>0</v>
      </c>
      <c r="E109" s="70" t="s">
        <v>104</v>
      </c>
      <c r="G109" s="233"/>
      <c r="H109" s="233"/>
      <c r="I109" s="90"/>
      <c r="J109" s="91"/>
      <c r="K109" s="91"/>
      <c r="L109" s="91"/>
    </row>
    <row r="110" spans="4:15" ht="15.75">
      <c r="D110" s="105"/>
      <c r="N110" s="233"/>
      <c r="O110" s="233"/>
    </row>
    <row r="111" spans="4:15" ht="15.75">
      <c r="D111" s="104"/>
      <c r="I111" s="34"/>
      <c r="N111" s="246"/>
      <c r="O111" s="246"/>
    </row>
    <row r="112" spans="14:15" ht="15.75">
      <c r="N112" s="233"/>
      <c r="O112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203</v>
      </c>
      <c r="C3" s="210" t="s">
        <v>0</v>
      </c>
      <c r="D3" s="211" t="s">
        <v>190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187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153</v>
      </c>
      <c r="F4" s="223" t="s">
        <v>116</v>
      </c>
      <c r="G4" s="225" t="s">
        <v>173</v>
      </c>
      <c r="H4" s="256" t="s">
        <v>174</v>
      </c>
      <c r="I4" s="254" t="s">
        <v>186</v>
      </c>
      <c r="J4" s="252" t="s">
        <v>189</v>
      </c>
      <c r="K4" s="116" t="s">
        <v>172</v>
      </c>
      <c r="L4" s="121" t="s">
        <v>171</v>
      </c>
      <c r="M4" s="216"/>
      <c r="N4" s="235" t="s">
        <v>194</v>
      </c>
      <c r="O4" s="254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7"/>
      <c r="I5" s="255"/>
      <c r="J5" s="253"/>
      <c r="K5" s="221" t="s">
        <v>188</v>
      </c>
      <c r="L5" s="222"/>
      <c r="M5" s="217"/>
      <c r="N5" s="236"/>
      <c r="O5" s="255"/>
      <c r="P5" s="218"/>
      <c r="Q5" s="221" t="s">
        <v>176</v>
      </c>
      <c r="R5" s="222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1"/>
      <c r="H137" s="231"/>
      <c r="I137" s="231"/>
      <c r="J137" s="23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38" t="s">
        <v>151</v>
      </c>
      <c r="H139" s="238"/>
      <c r="I139" s="106">
        <f>8909.733</f>
        <v>8909.733</v>
      </c>
      <c r="J139" s="250" t="s">
        <v>161</v>
      </c>
      <c r="K139" s="250"/>
      <c r="L139" s="250"/>
      <c r="M139" s="250"/>
      <c r="N139" s="232"/>
      <c r="O139" s="232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1" t="s">
        <v>162</v>
      </c>
      <c r="K140" s="251"/>
      <c r="L140" s="251"/>
      <c r="M140" s="251"/>
      <c r="N140" s="232"/>
      <c r="O140" s="232"/>
    </row>
    <row r="141" spans="7:13" ht="15.75" customHeight="1">
      <c r="G141" s="238" t="s">
        <v>148</v>
      </c>
      <c r="H141" s="238"/>
      <c r="I141" s="103">
        <v>0</v>
      </c>
      <c r="J141" s="250" t="s">
        <v>163</v>
      </c>
      <c r="K141" s="250"/>
      <c r="L141" s="250"/>
      <c r="M141" s="250"/>
    </row>
    <row r="142" spans="2:13" ht="18.75" customHeight="1">
      <c r="B142" s="242" t="s">
        <v>160</v>
      </c>
      <c r="C142" s="243"/>
      <c r="D142" s="108">
        <f>132375.63</f>
        <v>132375.63</v>
      </c>
      <c r="E142" s="73"/>
      <c r="F142" s="156" t="s">
        <v>147</v>
      </c>
      <c r="G142" s="238" t="s">
        <v>149</v>
      </c>
      <c r="H142" s="238"/>
      <c r="I142" s="107">
        <f>123465.893</f>
        <v>123465.893</v>
      </c>
      <c r="J142" s="250" t="s">
        <v>164</v>
      </c>
      <c r="K142" s="250"/>
      <c r="L142" s="250"/>
      <c r="M142" s="250"/>
    </row>
    <row r="143" spans="7:12" ht="9.75" customHeight="1">
      <c r="G143" s="233"/>
      <c r="H143" s="233"/>
      <c r="I143" s="90"/>
      <c r="J143" s="91"/>
      <c r="K143" s="91"/>
      <c r="L143" s="91"/>
    </row>
    <row r="144" spans="2:12" ht="22.5" customHeight="1" hidden="1">
      <c r="B144" s="244" t="s">
        <v>167</v>
      </c>
      <c r="C144" s="245"/>
      <c r="D144" s="110">
        <v>0</v>
      </c>
      <c r="E144" s="70" t="s">
        <v>104</v>
      </c>
      <c r="G144" s="233"/>
      <c r="H144" s="233"/>
      <c r="I144" s="90"/>
      <c r="J144" s="91"/>
      <c r="K144" s="91"/>
      <c r="L144" s="91"/>
    </row>
    <row r="145" spans="4:15" ht="15.75">
      <c r="D145" s="105"/>
      <c r="N145" s="233"/>
      <c r="O145" s="233"/>
    </row>
    <row r="146" spans="4:15" ht="15.75">
      <c r="D146" s="104"/>
      <c r="I146" s="34"/>
      <c r="N146" s="246"/>
      <c r="O146" s="246"/>
    </row>
    <row r="147" spans="14:15" ht="15.75">
      <c r="N147" s="233"/>
      <c r="O147" s="23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2015-06-08T08:53:16Z</cp:lastPrinted>
  <dcterms:created xsi:type="dcterms:W3CDTF">2003-07-28T11:27:56Z</dcterms:created>
  <dcterms:modified xsi:type="dcterms:W3CDTF">2015-06-09T07:57:06Z</dcterms:modified>
  <cp:category/>
  <cp:version/>
  <cp:contentType/>
  <cp:contentStatus/>
</cp:coreProperties>
</file>